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<sst xmlns="http://schemas.openxmlformats.org/spreadsheetml/2006/main" count="502" uniqueCount="149">
  <si>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</si>
  <si>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</si>
  <si>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</si>
  <si>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</si>
  <si>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</si>
  <si>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</si>
  <si>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</si>
  <si>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</si>
  <si>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</si>
  <si>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</si>
  <si>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</si>
  <si>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</si>
  <si>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</si>
  <si>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</si>
  <si>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</si>
  <si>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</si>
  <si>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</si>
  <si>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</si>
  <si>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</si>
  <si>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</si>
  <si>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</si>
  <si>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</si>
  <si>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</si>
  <si>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</si>
  <si>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</si>
  <si>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</si>
  <si>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</si>
  <si>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</si>
  <si>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</si>
  <si>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</si>
  <si>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</si>
  <si>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</si>
  <si>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</si>
  <si>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</si>
  <si>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</si>
  <si>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</si>
  <si>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</si>
  <si>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</si>
  <si>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</si>
  <si>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</si>
  <si>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</si>
  <si>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</si>
  <si>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</si>
  <si>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</si>
  <si>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</si>
  <si>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</si>
  <si>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</si>
  <si>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</si>
  <si>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</si>
  <si>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</si>
  <si>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</si>
  <si>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</si>
  <si>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</si>
  <si>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</si>
  <si>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</si>
  <si>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</si>
  <si>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</si>
  <si>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</si>
  <si>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</si>
  <si>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</si>
  <si>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</si>
  <si>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</si>
  <si>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</si>
  <si>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</si>
  <si>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</si>
  <si>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</si>
  <si>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</si>
  <si>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</si>
  <si>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</si>
  <si>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</si>
  <si>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</si>
  <si>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</si>
  <si>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</si>
  <si>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</si>
  <si>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</si>
  <si>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</si>
  <si>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</si>
  <si>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</si>
  <si>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</si>
  <si>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</si>
  <si>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</si>
  <si>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</si>
  <si>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</si>
  <si>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</si>
  <si>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</si>
  <si>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</si>
  <si>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</si>
  <si>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</si>
  <si>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</si>
  <si>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</si>
  <si>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</si>
  <si>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</si>
  <si>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</si>
  <si>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</si>
  <si>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</si>
  <si>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</si>
  <si>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</si>
  <si>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</si>
  <si>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</si>
  <si>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</si>
  <si>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</si>
  <si>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</si>
  <si>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</si>
  <si>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</si>
  <si>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</si>
  <si>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</si>
  <si>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</si>
  <si>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</si>
  <si>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</si>
  <si>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</si>
  <si>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</si>
  <si>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</si>
  <si>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</si>
  <si>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</si>
  <si>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</si>
  <si>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</si>
  <si>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</si>
  <si>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</si>
  <si>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</si>
  <si>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</si>
  <si>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</si>
  <si>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</si>
  <si>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</si>
  <si>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</si>
  <si>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</si>
  <si>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</si>
  <si>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</si>
  <si>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</si>
  <si>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</si>
  <si>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</si>
  <si>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</si>
  <si>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</si>
  <si>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</si>
  <si>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</si>
  <si>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</si>
  <si>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</si>
  <si>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</si>
  <si>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</si>
  <si>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</si>
  <si>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</si>
  <si>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</si>
  <si>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</si>
  <si>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</si>
  <si>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</si>
  <si>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t>Динаміка  фактичних надходжень січень-березень 2016 та 2015 років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</si>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</sst>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/>
      <c r="C3" s="213" t="s">
        <v>0</v>
      </c>
      <c r="D3" s="214" t="s">
        <v>121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145</v>
      </c>
      <c r="N3" s="219" t="s">
        <v>146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141</v>
      </c>
      <c r="F4" s="202" t="s">
        <v>34</v>
      </c>
      <c r="G4" s="196" t="s">
        <v>142</v>
      </c>
      <c r="H4" s="204" t="s">
        <v>143</v>
      </c>
      <c r="I4" s="196" t="s">
        <v>122</v>
      </c>
      <c r="J4" s="204" t="s">
        <v>123</v>
      </c>
      <c r="K4" s="91" t="s">
        <v>65</v>
      </c>
      <c r="L4" s="96" t="s">
        <v>64</v>
      </c>
      <c r="M4" s="204"/>
      <c r="N4" s="206" t="s">
        <v>148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92.25" customHeight="1">
      <c r="A5" s="211"/>
      <c r="B5" s="212"/>
      <c r="C5" s="213"/>
      <c r="D5" s="214"/>
      <c r="E5" s="221"/>
      <c r="F5" s="203"/>
      <c r="G5" s="197"/>
      <c r="H5" s="205"/>
      <c r="I5" s="197"/>
      <c r="J5" s="205"/>
      <c r="K5" s="199" t="s">
        <v>144</v>
      </c>
      <c r="L5" s="200"/>
      <c r="M5" s="205"/>
      <c r="N5" s="207"/>
      <c r="O5" s="197"/>
      <c r="P5" s="198"/>
      <c r="Q5" s="199" t="s">
        <v>120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F9+F15+F18+F19+F20+F32+F17-0.01</f>
        <v>144361.74</v>
      </c>
      <c r="G8" s="15">
        <f aca="true" t="shared" si="0" ref="G8:G21">F8-E8</f>
        <v>-37452.44000000003</v>
      </c>
      <c r="H8" s="38">
        <f>F8/E8*100</f>
        <v>79.40070460950844</v>
      </c>
      <c r="I8" s="28">
        <f>F8-D8</f>
        <v>-696688.26</v>
      </c>
      <c r="J8" s="28">
        <f>F8/D8*100</f>
        <v>17.1644658462636</v>
      </c>
      <c r="K8" s="15">
        <f>K9+K15+K18+K19+K20+K32</f>
        <v>53007.29</v>
      </c>
      <c r="L8" s="15">
        <f>F8/91354.4*100</f>
        <v>158.02384997329085</v>
      </c>
      <c r="M8" s="15">
        <f>M9+M15+M18+M19+M20+M32+M17</f>
        <v>59101.41</v>
      </c>
      <c r="N8" s="15">
        <f>N9+N15+N18+N19+N20+N32+N17</f>
        <v>3938.724999999994</v>
      </c>
      <c r="O8" s="15">
        <f>N8-M8</f>
        <v>-55162.68500000001</v>
      </c>
      <c r="P8" s="15">
        <f>N8/M8*100</f>
        <v>6.664350309070449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72199.64</v>
      </c>
      <c r="G9" s="36">
        <f t="shared" si="0"/>
        <v>-23783.630000000005</v>
      </c>
      <c r="H9" s="32">
        <f>F9/E9*100</f>
        <v>75.22106717139351</v>
      </c>
      <c r="I9" s="42">
        <f>F9-D9</f>
        <v>-387500.36</v>
      </c>
      <c r="J9" s="42">
        <f>F9/D9*100</f>
        <v>15.705816837067651</v>
      </c>
      <c r="K9" s="106">
        <f>F9-49687.49</f>
        <v>22512.15</v>
      </c>
      <c r="L9" s="106">
        <f>F9/49687.49*100</f>
        <v>145.30748081659993</v>
      </c>
      <c r="M9" s="32">
        <f>E9-лютий!E9</f>
        <v>35393.005000000005</v>
      </c>
      <c r="N9" s="178">
        <f>F9-лютий!F9</f>
        <v>1875.0399999999936</v>
      </c>
      <c r="O9" s="40">
        <f>N9-M9</f>
        <v>-33517.96500000001</v>
      </c>
      <c r="P9" s="42">
        <f>N9/M9*100</f>
        <v>5.297769997207056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F10-43781.83</f>
        <v>20214.159999999996</v>
      </c>
      <c r="L10" s="112">
        <f>F10/43781.83*100</f>
        <v>146.1702034839567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F11-3453.77</f>
        <v>1901.94</v>
      </c>
      <c r="L11" s="112">
        <f>F11/3453.77*100</f>
        <v>155.06851932815445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F12-805.51</f>
        <v>39.81000000000006</v>
      </c>
      <c r="L12" s="112">
        <f>F12/805.51*100</f>
        <v>104.942210525009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F13-707.92</f>
        <v>839.7200000000001</v>
      </c>
      <c r="L13" s="112">
        <f>F13/707.92*100</f>
        <v>218.61792292914456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85.14</v>
      </c>
      <c r="G15" s="36">
        <f t="shared" si="0"/>
        <v>-24.86</v>
      </c>
      <c r="H15" s="32"/>
      <c r="I15" s="42">
        <f t="shared" si="2"/>
        <v>-414.86</v>
      </c>
      <c r="J15" s="42">
        <f t="shared" si="3"/>
        <v>17.028000000000002</v>
      </c>
      <c r="K15" s="43">
        <f>F15-(-976.48)</f>
        <v>1061.6200000000001</v>
      </c>
      <c r="L15" s="43">
        <f>F15/(-976.48)*100</f>
        <v>-8.719072587252171</v>
      </c>
      <c r="M15" s="32">
        <f>E15-лютий!E15</f>
        <v>110</v>
      </c>
      <c r="N15" s="178">
        <f>F15-лютий!F15</f>
        <v>0.0049999999999954525</v>
      </c>
      <c r="O15" s="40">
        <f t="shared" si="4"/>
        <v>-109.995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11729.68</v>
      </c>
      <c r="G19" s="36">
        <f t="shared" si="0"/>
        <v>-8330.720000000001</v>
      </c>
      <c r="H19" s="32">
        <f t="shared" si="1"/>
        <v>58.471815118342604</v>
      </c>
      <c r="I19" s="42">
        <f t="shared" si="2"/>
        <v>-98170.32</v>
      </c>
      <c r="J19" s="42">
        <f t="shared" si="3"/>
        <v>10.673048225659691</v>
      </c>
      <c r="K19" s="185">
        <f>F19-3525.13</f>
        <v>8204.55</v>
      </c>
      <c r="L19" s="185">
        <f>F19/3525.13*100</f>
        <v>332.7446080002723</v>
      </c>
      <c r="M19" s="32">
        <f>E19-лютий!E19</f>
        <v>8000.000000000002</v>
      </c>
      <c r="N19" s="178">
        <f>F19-лютий!F19</f>
        <v>868.6800000000003</v>
      </c>
      <c r="O19" s="40">
        <f t="shared" si="4"/>
        <v>-7131.3200000000015</v>
      </c>
      <c r="P19" s="42">
        <f t="shared" si="5"/>
        <v>10.858500000000001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60241.44</v>
      </c>
      <c r="G20" s="36">
        <f t="shared" si="0"/>
        <v>-5409.070000000007</v>
      </c>
      <c r="H20" s="32">
        <f t="shared" si="1"/>
        <v>91.76081038822089</v>
      </c>
      <c r="I20" s="42">
        <f t="shared" si="2"/>
        <v>-210698.56</v>
      </c>
      <c r="J20" s="42">
        <f t="shared" si="3"/>
        <v>22.234236362294236</v>
      </c>
      <c r="K20" s="132">
        <f>F20-37103.23</f>
        <v>23138.21</v>
      </c>
      <c r="L20" s="110">
        <f>F20/37103.23*100</f>
        <v>162.36171352197638</v>
      </c>
      <c r="M20" s="32">
        <f>M21+M25+M26+M27</f>
        <v>15598.405</v>
      </c>
      <c r="N20" s="178">
        <f>F20-лютий!F20</f>
        <v>1195</v>
      </c>
      <c r="O20" s="40">
        <f t="shared" si="4"/>
        <v>-14403.405</v>
      </c>
      <c r="P20" s="42">
        <f t="shared" si="5"/>
        <v>7.6610397024567565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26380.920000000002</v>
      </c>
      <c r="G21" s="36">
        <f t="shared" si="0"/>
        <v>-8960.34</v>
      </c>
      <c r="H21" s="32">
        <f t="shared" si="1"/>
        <v>74.6462350238786</v>
      </c>
      <c r="I21" s="42">
        <f t="shared" si="2"/>
        <v>-135019.08</v>
      </c>
      <c r="J21" s="42">
        <f t="shared" si="3"/>
        <v>16.34505576208179</v>
      </c>
      <c r="K21" s="132">
        <f>F21-15266.79</f>
        <v>11114.130000000001</v>
      </c>
      <c r="L21" s="110">
        <f>F21/15266.79*100</f>
        <v>172.79939004859568</v>
      </c>
      <c r="M21" s="32">
        <f>M22+M23+M24</f>
        <v>11845</v>
      </c>
      <c r="N21" s="178">
        <f>F21-лютий!F21</f>
        <v>896.8700000000026</v>
      </c>
      <c r="O21" s="40">
        <f t="shared" si="4"/>
        <v>-10948.129999999997</v>
      </c>
      <c r="P21" s="42">
        <f t="shared" si="5"/>
        <v>7.5717180244829265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3577.36</v>
      </c>
      <c r="G22" s="109">
        <f>F22-E22</f>
        <v>45.76000000000022</v>
      </c>
      <c r="H22" s="111">
        <f t="shared" si="1"/>
        <v>101.29572998074528</v>
      </c>
      <c r="I22" s="110">
        <f t="shared" si="2"/>
        <v>-14922.64</v>
      </c>
      <c r="J22" s="110">
        <f t="shared" si="3"/>
        <v>19.33708108108108</v>
      </c>
      <c r="K22" s="174">
        <f>F22-306.01</f>
        <v>3271.3500000000004</v>
      </c>
      <c r="L22" s="174">
        <f>F22/306.01*100</f>
        <v>1169.0336917094214</v>
      </c>
      <c r="M22" s="111">
        <f>E22-лютий!E22</f>
        <v>240</v>
      </c>
      <c r="N22" s="179">
        <f>F22-лютий!F22</f>
        <v>24.590000000000146</v>
      </c>
      <c r="O22" s="112">
        <f t="shared" si="4"/>
        <v>-215.40999999999985</v>
      </c>
      <c r="P22" s="110">
        <f t="shared" si="5"/>
        <v>10.245833333333394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174.23</v>
      </c>
      <c r="G23" s="109">
        <f>F23-E23</f>
        <v>-27.610000000000014</v>
      </c>
      <c r="H23" s="111">
        <f t="shared" si="1"/>
        <v>86.32084819659134</v>
      </c>
      <c r="I23" s="110">
        <f t="shared" si="2"/>
        <v>-2625.77</v>
      </c>
      <c r="J23" s="110">
        <f t="shared" si="3"/>
        <v>6.222499999999999</v>
      </c>
      <c r="K23" s="110">
        <f>F23-6.25</f>
        <v>167.98</v>
      </c>
      <c r="L23" s="110">
        <f>F23/6.25*100</f>
        <v>2787.68</v>
      </c>
      <c r="M23" s="111">
        <f>E23-лютий!E23</f>
        <v>0</v>
      </c>
      <c r="N23" s="179">
        <f>F23-лютий!F23</f>
        <v>0.01999999999998181</v>
      </c>
      <c r="O23" s="112">
        <f t="shared" si="4"/>
        <v>0.01999999999998181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22629.33</v>
      </c>
      <c r="G24" s="109">
        <f>F24-E24</f>
        <v>-8978.489999999998</v>
      </c>
      <c r="H24" s="111">
        <f t="shared" si="1"/>
        <v>71.59408652668866</v>
      </c>
      <c r="I24" s="110">
        <f t="shared" si="2"/>
        <v>-117470.67</v>
      </c>
      <c r="J24" s="110">
        <f t="shared" si="3"/>
        <v>16.152269807280515</v>
      </c>
      <c r="K24" s="174">
        <f>F24-14954.53</f>
        <v>7674.800000000001</v>
      </c>
      <c r="L24" s="174">
        <f>F24/14954.53*100</f>
        <v>151.3209041006304</v>
      </c>
      <c r="M24" s="111">
        <f>E24-лютий!E24</f>
        <v>11605</v>
      </c>
      <c r="N24" s="179">
        <f>F24-лютий!F24</f>
        <v>872.260000000002</v>
      </c>
      <c r="O24" s="112">
        <f t="shared" si="4"/>
        <v>-10732.739999999998</v>
      </c>
      <c r="P24" s="110">
        <f t="shared" si="5"/>
        <v>7.5162429987074715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6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E26-лютий!E26</f>
        <v>0</v>
      </c>
      <c r="N26" s="178">
        <f>F26-лютий!F26</f>
        <v>0</v>
      </c>
      <c r="O26" s="40">
        <f t="shared" si="4"/>
        <v>0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33892.64</v>
      </c>
      <c r="G27" s="36">
        <f t="shared" si="6"/>
        <v>3597.399999999998</v>
      </c>
      <c r="H27" s="32">
        <f t="shared" si="1"/>
        <v>111.874472689439</v>
      </c>
      <c r="I27" s="42">
        <f t="shared" si="2"/>
        <v>-75570.36</v>
      </c>
      <c r="J27" s="42">
        <f t="shared" si="3"/>
        <v>30.962644911979393</v>
      </c>
      <c r="K27" s="106">
        <f>F27-21734.55</f>
        <v>12158.09</v>
      </c>
      <c r="L27" s="106">
        <f>F27/21734.55*100</f>
        <v>155.9390003473732</v>
      </c>
      <c r="M27" s="32">
        <f>E27-лютий!E27</f>
        <v>3750</v>
      </c>
      <c r="N27" s="178">
        <f>F27-лютий!F27</f>
        <v>298.1299999999974</v>
      </c>
      <c r="O27" s="40">
        <f t="shared" si="4"/>
        <v>-3451.8700000000026</v>
      </c>
      <c r="P27" s="42">
        <f>N27/M27*100</f>
        <v>7.950133333333263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8695.29</v>
      </c>
      <c r="G29" s="109">
        <f t="shared" si="6"/>
        <v>2239.3200000000006</v>
      </c>
      <c r="H29" s="111">
        <f t="shared" si="1"/>
        <v>134.68603478640702</v>
      </c>
      <c r="I29" s="110">
        <f t="shared" si="2"/>
        <v>-18904.71</v>
      </c>
      <c r="J29" s="110">
        <f t="shared" si="3"/>
        <v>31.50467391304348</v>
      </c>
      <c r="K29" s="142">
        <f>F29-5853.24</f>
        <v>2842.050000000001</v>
      </c>
      <c r="L29" s="142">
        <f>F29/5853.24*100</f>
        <v>148.5551591938824</v>
      </c>
      <c r="M29" s="111">
        <f>E29-лютий!E29</f>
        <v>800</v>
      </c>
      <c r="N29" s="179">
        <f>F29-лютий!F29</f>
        <v>16.020000000000437</v>
      </c>
      <c r="O29" s="112">
        <f t="shared" si="4"/>
        <v>-783.9799999999996</v>
      </c>
      <c r="P29" s="110">
        <f>N29/M29*100</f>
        <v>2.0025000000000546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25003.89</v>
      </c>
      <c r="G30" s="109">
        <f t="shared" si="6"/>
        <v>1167.8099999999977</v>
      </c>
      <c r="H30" s="111">
        <f t="shared" si="1"/>
        <v>104.89933747495392</v>
      </c>
      <c r="I30" s="110">
        <f t="shared" si="2"/>
        <v>-56808.11</v>
      </c>
      <c r="J30" s="110">
        <f t="shared" si="3"/>
        <v>30.562619175671053</v>
      </c>
      <c r="K30" s="142">
        <f>F30-15877.68</f>
        <v>9126.21</v>
      </c>
      <c r="L30" s="142">
        <f>F30/15877.68*100</f>
        <v>157.47823359584018</v>
      </c>
      <c r="M30" s="111">
        <f>E30-лютий!E30</f>
        <v>2950</v>
      </c>
      <c r="N30" s="179">
        <f>F30-лютий!F30</f>
        <v>96.22000000000116</v>
      </c>
      <c r="O30" s="112">
        <f t="shared" si="4"/>
        <v>-2853.779999999999</v>
      </c>
      <c r="P30" s="110">
        <f>N30/M30*100</f>
        <v>3.261694915254277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8212.48</v>
      </c>
      <c r="G33" s="15">
        <f>G34+G35+G36+G37+G38+G39+G41+G42+G43+G44+G45+G50+G51+G55</f>
        <v>-192.5309999999999</v>
      </c>
      <c r="H33" s="38">
        <f>F33/E33*100</f>
        <v>97.70909827697243</v>
      </c>
      <c r="I33" s="28">
        <f>F33-D33</f>
        <v>-34607.520000000004</v>
      </c>
      <c r="J33" s="28">
        <f>F33/D33*100</f>
        <v>19.179075198505373</v>
      </c>
      <c r="K33" s="15">
        <f>F33-4883.7</f>
        <v>3328.7799999999997</v>
      </c>
      <c r="L33" s="15">
        <f>F33/4883.7*100</f>
        <v>168.16102545201383</v>
      </c>
      <c r="M33" s="15">
        <f>M34+M35+M36+M37+M38+M39+M41+M42+M43+M44+M45+M50+M51+M55</f>
        <v>3470.005</v>
      </c>
      <c r="N33" s="15">
        <f>N34+N35+N36+N37+N38+N39+N41+N42+N43+N44+N45+N50+N51+N55</f>
        <v>3296.04</v>
      </c>
      <c r="O33" s="15">
        <f>O34+O35+O36+O37+O38+O39+O41+O42+O43+O44+O45+O50+O51+O55</f>
        <v>-173.9649999999998</v>
      </c>
      <c r="P33" s="15">
        <f>N33/M33*100</f>
        <v>94.98660664754085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F34-(-3.86)</f>
        <v>98.51</v>
      </c>
      <c r="L34" s="42">
        <f>F34/(-3.86)*100</f>
        <v>-2452.072538860104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24.38</v>
      </c>
      <c r="G36" s="36">
        <f t="shared" si="9"/>
        <v>-27.06</v>
      </c>
      <c r="H36" s="32">
        <f t="shared" si="7"/>
        <v>47.3950233281493</v>
      </c>
      <c r="I36" s="42">
        <f t="shared" si="10"/>
        <v>-375.62</v>
      </c>
      <c r="J36" s="42">
        <f aca="true" t="shared" si="12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f>E36-лютий!E36</f>
        <v>19.999999999999996</v>
      </c>
      <c r="N36" s="178">
        <f>F36-лютий!F36</f>
        <v>0</v>
      </c>
      <c r="O36" s="40">
        <f t="shared" si="11"/>
        <v>-19.999999999999996</v>
      </c>
      <c r="P36" s="42">
        <f t="shared" si="8"/>
        <v>0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4.5</v>
      </c>
      <c r="G38" s="36">
        <f t="shared" si="9"/>
        <v>-25.5</v>
      </c>
      <c r="H38" s="32">
        <f t="shared" si="7"/>
        <v>15</v>
      </c>
      <c r="I38" s="42">
        <f t="shared" si="10"/>
        <v>-145.5</v>
      </c>
      <c r="J38" s="42">
        <f t="shared" si="12"/>
        <v>3</v>
      </c>
      <c r="K38" s="42">
        <f>F38-16.83</f>
        <v>-12.329999999999998</v>
      </c>
      <c r="L38" s="42">
        <f>F38/16.83*100</f>
        <v>26.737967914438503</v>
      </c>
      <c r="M38" s="32">
        <f>E38-лютий!E38</f>
        <v>10</v>
      </c>
      <c r="N38" s="178">
        <f>F38-лютий!F38</f>
        <v>0.8500000000000001</v>
      </c>
      <c r="O38" s="40">
        <f t="shared" si="11"/>
        <v>-9.15</v>
      </c>
      <c r="P38" s="42">
        <f t="shared" si="8"/>
        <v>8.5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1447.64</v>
      </c>
      <c r="G41" s="36">
        <f t="shared" si="9"/>
        <v>-691.3799999999999</v>
      </c>
      <c r="H41" s="32">
        <f t="shared" si="7"/>
        <v>67.67772157343083</v>
      </c>
      <c r="I41" s="42">
        <f t="shared" si="10"/>
        <v>-8452.36</v>
      </c>
      <c r="J41" s="42">
        <f t="shared" si="12"/>
        <v>14.622626262626264</v>
      </c>
      <c r="K41" s="42">
        <f>F41-1559.47</f>
        <v>-111.82999999999993</v>
      </c>
      <c r="L41" s="42">
        <f>F41/1559.47*100</f>
        <v>92.82897394627663</v>
      </c>
      <c r="M41" s="32">
        <f>E41-лютий!E41</f>
        <v>800.0049999999999</v>
      </c>
      <c r="N41" s="178">
        <f>F41-лютий!F41</f>
        <v>96.47000000000003</v>
      </c>
      <c r="O41" s="40">
        <f t="shared" si="11"/>
        <v>-703.5349999999999</v>
      </c>
      <c r="P41" s="42">
        <f t="shared" si="8"/>
        <v>12.058674633283548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/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/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1303.34</v>
      </c>
      <c r="G44" s="36">
        <f t="shared" si="9"/>
        <v>-712.8900000000001</v>
      </c>
      <c r="H44" s="32">
        <f t="shared" si="7"/>
        <v>64.64242670727049</v>
      </c>
      <c r="I44" s="42">
        <f t="shared" si="10"/>
        <v>-7196.66</v>
      </c>
      <c r="J44" s="42">
        <f t="shared" si="12"/>
        <v>15.33341176470588</v>
      </c>
      <c r="K44" s="42">
        <f>F44-1319.2</f>
        <v>-15.860000000000127</v>
      </c>
      <c r="L44" s="42">
        <f>F44/1319.2*100</f>
        <v>98.79775621588841</v>
      </c>
      <c r="M44" s="32">
        <f>E44-лютий!E44</f>
        <v>650</v>
      </c>
      <c r="N44" s="178">
        <f>F44-лютий!F44</f>
        <v>0</v>
      </c>
      <c r="O44" s="40">
        <f t="shared" si="11"/>
        <v>-650</v>
      </c>
      <c r="P44" s="42">
        <f t="shared" si="8"/>
        <v>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1000.67</v>
      </c>
      <c r="G45" s="36">
        <f t="shared" si="9"/>
        <v>-372.5200000000001</v>
      </c>
      <c r="H45" s="32">
        <f t="shared" si="7"/>
        <v>72.87192595343687</v>
      </c>
      <c r="I45" s="42">
        <f t="shared" si="10"/>
        <v>-6299.33</v>
      </c>
      <c r="J45" s="42">
        <f t="shared" si="12"/>
        <v>13.70780821917808</v>
      </c>
      <c r="K45" s="132">
        <f>F45-1398.47</f>
        <v>-397.80000000000007</v>
      </c>
      <c r="L45" s="132">
        <f>F45/1398.47*100</f>
        <v>71.554627557259</v>
      </c>
      <c r="M45" s="32">
        <f>E45-лютий!E45</f>
        <v>477</v>
      </c>
      <c r="N45" s="178">
        <f>F45-лютий!F45</f>
        <v>35.50999999999999</v>
      </c>
      <c r="O45" s="40">
        <f t="shared" si="11"/>
        <v>-441.49</v>
      </c>
      <c r="P45" s="132">
        <f t="shared" si="8"/>
        <v>7.444444444444443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F46-139.45</f>
        <v>-50.01999999999998</v>
      </c>
      <c r="L46" s="110">
        <f>F46/139.45*100</f>
        <v>64.13051272857656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F47-1.07</f>
        <v>-0.9900000000000001</v>
      </c>
      <c r="L47" s="110">
        <f>F47/1.27*100</f>
        <v>6.299212598425196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F48-0.41</f>
        <v>-0.41</v>
      </c>
      <c r="L48" s="110">
        <f>F48/0.41*100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F49-1257.34</f>
        <v>-346.17999999999995</v>
      </c>
      <c r="L49" s="110">
        <f>F49/1257.34*100</f>
        <v>72.46727217777213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763.99</v>
      </c>
      <c r="G51" s="36">
        <f t="shared" si="9"/>
        <v>-243.99</v>
      </c>
      <c r="H51" s="32">
        <f t="shared" si="7"/>
        <v>75.79416258259093</v>
      </c>
      <c r="I51" s="42">
        <f t="shared" si="10"/>
        <v>-4036.01</v>
      </c>
      <c r="J51" s="42">
        <f t="shared" si="12"/>
        <v>15.916458333333333</v>
      </c>
      <c r="K51" s="42">
        <f>F51-590.24</f>
        <v>173.75</v>
      </c>
      <c r="L51" s="42">
        <f>F51/590.24*100</f>
        <v>129.43717809704526</v>
      </c>
      <c r="M51" s="32">
        <f>E51-лютий!E51</f>
        <v>370</v>
      </c>
      <c r="N51" s="178">
        <f>F51-лютий!F51</f>
        <v>41.33000000000004</v>
      </c>
      <c r="O51" s="40">
        <f t="shared" si="11"/>
        <v>-328.66999999999996</v>
      </c>
      <c r="P51" s="42">
        <f t="shared" si="8"/>
        <v>11.170270270270281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147.7</v>
      </c>
      <c r="G53" s="36"/>
      <c r="H53" s="32"/>
      <c r="I53" s="42"/>
      <c r="J53" s="42"/>
      <c r="K53" s="112">
        <f>F53-142.7</f>
        <v>5</v>
      </c>
      <c r="L53" s="112">
        <f>F53/142.7*100</f>
        <v>103.50385423966364</v>
      </c>
      <c r="M53" s="111"/>
      <c r="N53" s="179">
        <f>F53-лютий!F53</f>
        <v>0.39999999999997726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9"/>
        <v>12.189999999999998</v>
      </c>
      <c r="H55" s="32">
        <f t="shared" si="7"/>
        <v>160.95</v>
      </c>
      <c r="I55" s="42">
        <f t="shared" si="10"/>
        <v>12.189999999999998</v>
      </c>
      <c r="J55" s="42">
        <f t="shared" si="12"/>
        <v>160.95</v>
      </c>
      <c r="K55" s="42">
        <f>F55-0</f>
        <v>32.19</v>
      </c>
      <c r="L55" s="42"/>
      <c r="M55" s="32">
        <f>E55-лютий!E55</f>
        <v>0</v>
      </c>
      <c r="N55" s="178">
        <f>F55-лютий!F55</f>
        <v>0</v>
      </c>
      <c r="O55" s="40">
        <f t="shared" si="11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F56-3.3</f>
        <v>0.5</v>
      </c>
      <c r="L56" s="42">
        <f>F56/3.3*100</f>
        <v>115.15151515151516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152578.02</v>
      </c>
      <c r="G58" s="37">
        <f>F58-E58</f>
        <v>-37646.49100000001</v>
      </c>
      <c r="H58" s="38">
        <f>F58/E58*100</f>
        <v>80.20944262014687</v>
      </c>
      <c r="I58" s="28">
        <f>F58-D58</f>
        <v>-731322.58</v>
      </c>
      <c r="J58" s="28">
        <f>F58/D58*100</f>
        <v>17.261898000748047</v>
      </c>
      <c r="K58" s="28">
        <f>F58-96241.42</f>
        <v>56336.59999999999</v>
      </c>
      <c r="L58" s="28">
        <f>F58/96241.42*100</f>
        <v>158.53675060072888</v>
      </c>
      <c r="M58" s="15">
        <f>M8+M33+M56+M57</f>
        <v>62573.715000000004</v>
      </c>
      <c r="N58" s="15">
        <f>N8+N33+N56+N57</f>
        <v>7234.764999999994</v>
      </c>
      <c r="O58" s="41">
        <f>N58-M58</f>
        <v>-55338.95000000001</v>
      </c>
      <c r="P58" s="28">
        <f>N58/M58*100</f>
        <v>11.561987329663891</v>
      </c>
      <c r="Q58" s="28">
        <f>N58-34768</f>
        <v>-27533.235000000008</v>
      </c>
      <c r="R58" s="128">
        <f>N58/34768</f>
        <v>0.20808689024390226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F67-0.08</f>
        <v>0.03</v>
      </c>
      <c r="L67" s="43">
        <f>F67/0.08*100</f>
        <v>137.5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646.84</v>
      </c>
      <c r="G69" s="36">
        <f t="shared" si="13"/>
        <v>-240.01</v>
      </c>
      <c r="H69" s="32">
        <f>F69/E69*100</f>
        <v>72.9367987822067</v>
      </c>
      <c r="I69" s="43">
        <f t="shared" si="14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f>E69-лютий!E69</f>
        <v>302</v>
      </c>
      <c r="N69" s="178">
        <f>F69-лютий!F69</f>
        <v>0</v>
      </c>
      <c r="O69" s="40">
        <f t="shared" si="15"/>
        <v>-302</v>
      </c>
      <c r="P69" s="43">
        <f>N69/M69*100</f>
        <v>0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2</v>
      </c>
      <c r="G70" s="36">
        <f t="shared" si="13"/>
        <v>-1</v>
      </c>
      <c r="H70" s="32">
        <f>F70/E70*100</f>
        <v>66.66666666666666</v>
      </c>
      <c r="I70" s="43">
        <f t="shared" si="14"/>
        <v>-10</v>
      </c>
      <c r="J70" s="43">
        <f>F70/D70*100</f>
        <v>16.666666666666664</v>
      </c>
      <c r="K70" s="43">
        <f>F70-0</f>
        <v>2</v>
      </c>
      <c r="L70" s="43"/>
      <c r="M70" s="32">
        <f>E70-лютий!E70</f>
        <v>1</v>
      </c>
      <c r="N70" s="178">
        <f>F70-лютий!F70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1025.6200000000001</v>
      </c>
      <c r="G71" s="45">
        <f t="shared" si="13"/>
        <v>-1327.64</v>
      </c>
      <c r="H71" s="52">
        <f>F71/E71*100</f>
        <v>43.58294451101876</v>
      </c>
      <c r="I71" s="44">
        <f t="shared" si="14"/>
        <v>-16645.38</v>
      </c>
      <c r="J71" s="44">
        <f>F71/D71*100</f>
        <v>5.803972610491767</v>
      </c>
      <c r="K71" s="44">
        <f>F71-412.6</f>
        <v>613.0200000000001</v>
      </c>
      <c r="L71" s="44">
        <f>F71/412.6*100</f>
        <v>248.5748909355308</v>
      </c>
      <c r="M71" s="45">
        <f>M67+M68+M69+M70</f>
        <v>634.01</v>
      </c>
      <c r="N71" s="183">
        <f>N67+N68+N69+N70</f>
        <v>0.009999999999999995</v>
      </c>
      <c r="O71" s="44">
        <f t="shared" si="15"/>
        <v>-634</v>
      </c>
      <c r="P71" s="44">
        <f>N71/M71*100</f>
        <v>0.0015772621882935594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0.01</v>
      </c>
      <c r="G72" s="36">
        <f t="shared" si="13"/>
        <v>0.01</v>
      </c>
      <c r="H72" s="32"/>
      <c r="I72" s="43">
        <f t="shared" si="14"/>
        <v>-0.99</v>
      </c>
      <c r="J72" s="43"/>
      <c r="K72" s="43">
        <f>F72-0</f>
        <v>0.01</v>
      </c>
      <c r="L72" s="43"/>
      <c r="M72" s="32">
        <f>E72-лютий!E72</f>
        <v>0</v>
      </c>
      <c r="N72" s="178">
        <f>F72-лютий!F72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2013.68</v>
      </c>
      <c r="G74" s="36">
        <f t="shared" si="13"/>
        <v>7.980000000000018</v>
      </c>
      <c r="H74" s="32">
        <f>F74/E74*100</f>
        <v>100.39786608166725</v>
      </c>
      <c r="I74" s="43">
        <f t="shared" si="14"/>
        <v>-7486.32</v>
      </c>
      <c r="J74" s="40">
        <f>F74/D74*100</f>
        <v>21.19663157894737</v>
      </c>
      <c r="K74" s="40">
        <f>F74-0</f>
        <v>2013.68</v>
      </c>
      <c r="L74" s="43"/>
      <c r="M74" s="32">
        <f>E74-лютий!E74</f>
        <v>0.7999999999999545</v>
      </c>
      <c r="N74" s="178">
        <f>F74-лютий!F74</f>
        <v>0.01999999999998181</v>
      </c>
      <c r="O74" s="40">
        <f>N74-M74</f>
        <v>-0.7799999999999727</v>
      </c>
      <c r="P74" s="46">
        <f>N74/M74*100</f>
        <v>2.4999999999978684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F75-0.49</f>
        <v>-0.20999999999999996</v>
      </c>
      <c r="L75" s="43">
        <f>F75/0.49*100</f>
        <v>57.14285714285715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2013.97</v>
      </c>
      <c r="G76" s="30">
        <f>G72+G75+G73+G74</f>
        <v>8.270000000000017</v>
      </c>
      <c r="H76" s="52">
        <f>F76/E76*100</f>
        <v>100.41232487410878</v>
      </c>
      <c r="I76" s="44">
        <f t="shared" si="14"/>
        <v>-7487.03</v>
      </c>
      <c r="J76" s="44">
        <f>F76/D76*100</f>
        <v>21.197452899694767</v>
      </c>
      <c r="K76" s="44">
        <f>F76-0.49</f>
        <v>2013.48</v>
      </c>
      <c r="L76" s="44">
        <f>F76/0.49*100</f>
        <v>411014.2857142857</v>
      </c>
      <c r="M76" s="45">
        <f>M72+M75+M73+M74</f>
        <v>0.7999999999999545</v>
      </c>
      <c r="N76" s="183">
        <f>N72+N75+N73+N74</f>
        <v>0.13999999999998183</v>
      </c>
      <c r="O76" s="45">
        <f>O72+O75+O73+O74</f>
        <v>-0.6599999999999727</v>
      </c>
      <c r="P76" s="44">
        <f>N76/M76*100</f>
        <v>17.499999999998725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3040.01</v>
      </c>
      <c r="G79" s="37">
        <f>F79-E79</f>
        <v>-1331.6599999999999</v>
      </c>
      <c r="H79" s="38">
        <f>F79/E79*100</f>
        <v>69.53887187276258</v>
      </c>
      <c r="I79" s="28">
        <f>F79-D79</f>
        <v>-24174.989999999998</v>
      </c>
      <c r="J79" s="28">
        <f>F79/D79*100</f>
        <v>11.17034723498071</v>
      </c>
      <c r="K79" s="28">
        <f>K65+K71+K76+K77</f>
        <v>2640.61</v>
      </c>
      <c r="L79" s="28">
        <f>F79/399.4*100</f>
        <v>761.1442163244868</v>
      </c>
      <c r="M79" s="24">
        <f>M65+M77+M71+M76</f>
        <v>646.8</v>
      </c>
      <c r="N79" s="165">
        <f>N65+N77+N71+N76+N78</f>
        <v>0.14999999999998181</v>
      </c>
      <c r="O79" s="28">
        <f t="shared" si="15"/>
        <v>-646.65</v>
      </c>
      <c r="P79" s="28">
        <f>N79/M79*100</f>
        <v>0.023191094619663236</v>
      </c>
      <c r="Q79" s="28">
        <f>N79-8104.96</f>
        <v>-8104.81</v>
      </c>
      <c r="R79" s="101">
        <f>N79/8104.96</f>
        <v>1.8507185723307926E-05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155618.03</v>
      </c>
      <c r="G80" s="37">
        <f>F80-E80</f>
        <v>-38978.15100000001</v>
      </c>
      <c r="H80" s="38">
        <f>F80/E80*100</f>
        <v>79.969724585705</v>
      </c>
      <c r="I80" s="28">
        <f>F80-D80</f>
        <v>-755497.57</v>
      </c>
      <c r="J80" s="28">
        <f>F80/D80*100</f>
        <v>17.07994353296113</v>
      </c>
      <c r="K80" s="28">
        <f>K58+K79</f>
        <v>58977.20999999999</v>
      </c>
      <c r="L80" s="28">
        <f>F80/96640.82*100</f>
        <v>161.02722431370097</v>
      </c>
      <c r="M80" s="15">
        <f>M58+M79</f>
        <v>63220.51500000001</v>
      </c>
      <c r="N80" s="15">
        <f>N58+N79</f>
        <v>7234.914999999994</v>
      </c>
      <c r="O80" s="28">
        <f t="shared" si="15"/>
        <v>-55985.60000000001</v>
      </c>
      <c r="P80" s="28">
        <f>N80/M80*100</f>
        <v>11.443935564270543</v>
      </c>
      <c r="Q80" s="28">
        <f>N80-42872.96</f>
        <v>-35638.045000000006</v>
      </c>
      <c r="R80" s="101">
        <f>N80/42872.96</f>
        <v>0.1687524024466702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20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2766.9475000000007</v>
      </c>
      <c r="D83" s="4" t="s">
        <v>24</v>
      </c>
      <c r="G83" s="201"/>
      <c r="H83" s="201"/>
      <c r="I83" s="201"/>
      <c r="J83" s="201"/>
      <c r="K83" s="90"/>
      <c r="L83" s="90"/>
      <c r="P83" s="26"/>
      <c r="Q83" s="26"/>
    </row>
    <row r="84" spans="2:15" ht="34.5" customHeight="1">
      <c r="B84" s="58" t="s">
        <v>56</v>
      </c>
      <c r="C84" s="87">
        <v>42431</v>
      </c>
      <c r="D84" s="31">
        <v>1553.13</v>
      </c>
      <c r="G84" s="4" t="s">
        <v>59</v>
      </c>
      <c r="N84" s="194"/>
      <c r="O84" s="194"/>
    </row>
    <row r="85" spans="3:15" ht="15">
      <c r="C85" s="87">
        <v>42430</v>
      </c>
      <c r="D85" s="31">
        <v>5681.64</v>
      </c>
      <c r="F85" s="124" t="s">
        <v>59</v>
      </c>
      <c r="G85" s="188"/>
      <c r="H85" s="188"/>
      <c r="I85" s="131"/>
      <c r="J85" s="191"/>
      <c r="K85" s="191"/>
      <c r="L85" s="191"/>
      <c r="M85" s="191"/>
      <c r="N85" s="194"/>
      <c r="O85" s="194"/>
    </row>
    <row r="86" spans="3:15" ht="15.75" customHeight="1">
      <c r="C86" s="87">
        <v>42429</v>
      </c>
      <c r="D86" s="31">
        <v>13464</v>
      </c>
      <c r="F86" s="73"/>
      <c r="G86" s="188"/>
      <c r="H86" s="188"/>
      <c r="I86" s="131"/>
      <c r="J86" s="195"/>
      <c r="K86" s="195"/>
      <c r="L86" s="195"/>
      <c r="M86" s="195"/>
      <c r="N86" s="194"/>
      <c r="O86" s="194"/>
    </row>
    <row r="87" spans="3:13" ht="15.75" customHeight="1">
      <c r="C87" s="87"/>
      <c r="F87" s="73"/>
      <c r="G87" s="190"/>
      <c r="H87" s="190"/>
      <c r="I87" s="139"/>
      <c r="J87" s="191"/>
      <c r="K87" s="191"/>
      <c r="L87" s="191"/>
      <c r="M87" s="191"/>
    </row>
    <row r="88" spans="2:13" ht="18.75" customHeight="1">
      <c r="B88" s="192" t="s">
        <v>57</v>
      </c>
      <c r="C88" s="193"/>
      <c r="D88" s="148">
        <v>505.30468</v>
      </c>
      <c r="E88" s="74"/>
      <c r="F88" s="140" t="s">
        <v>137</v>
      </c>
      <c r="G88" s="188"/>
      <c r="H88" s="188"/>
      <c r="I88" s="141"/>
      <c r="J88" s="191"/>
      <c r="K88" s="191"/>
      <c r="L88" s="191"/>
      <c r="M88" s="191"/>
    </row>
    <row r="89" spans="6:12" ht="9.75" customHeight="1">
      <c r="F89" s="73"/>
      <c r="G89" s="188"/>
      <c r="H89" s="188"/>
      <c r="I89" s="73"/>
      <c r="J89" s="74"/>
      <c r="K89" s="74"/>
      <c r="L89" s="74"/>
    </row>
    <row r="90" spans="2:12" ht="22.5" customHeight="1" hidden="1">
      <c r="B90" s="186" t="s">
        <v>60</v>
      </c>
      <c r="C90" s="187"/>
      <c r="D90" s="86">
        <v>0</v>
      </c>
      <c r="E90" s="56" t="s">
        <v>24</v>
      </c>
      <c r="F90" s="73"/>
      <c r="G90" s="188"/>
      <c r="H90" s="18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8"/>
      <c r="O91" s="188"/>
    </row>
    <row r="92" spans="4:15" ht="15">
      <c r="D92" s="83"/>
      <c r="I92" s="31"/>
      <c r="N92" s="189"/>
      <c r="O92" s="189"/>
    </row>
    <row r="93" spans="14:15" ht="15">
      <c r="N93" s="188"/>
      <c r="O93" s="18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4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/>
      <c r="C3" s="213" t="s">
        <v>0</v>
      </c>
      <c r="D3" s="214" t="s">
        <v>121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128</v>
      </c>
      <c r="N3" s="219" t="s">
        <v>119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127</v>
      </c>
      <c r="F4" s="202" t="s">
        <v>34</v>
      </c>
      <c r="G4" s="196" t="s">
        <v>116</v>
      </c>
      <c r="H4" s="204" t="s">
        <v>117</v>
      </c>
      <c r="I4" s="196" t="s">
        <v>122</v>
      </c>
      <c r="J4" s="204" t="s">
        <v>123</v>
      </c>
      <c r="K4" s="91" t="s">
        <v>65</v>
      </c>
      <c r="L4" s="96" t="s">
        <v>64</v>
      </c>
      <c r="M4" s="204"/>
      <c r="N4" s="206" t="s">
        <v>140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92.25" customHeight="1">
      <c r="A5" s="211"/>
      <c r="B5" s="212"/>
      <c r="C5" s="213"/>
      <c r="D5" s="214"/>
      <c r="E5" s="221"/>
      <c r="F5" s="203"/>
      <c r="G5" s="197"/>
      <c r="H5" s="205"/>
      <c r="I5" s="197"/>
      <c r="J5" s="205"/>
      <c r="K5" s="199" t="s">
        <v>118</v>
      </c>
      <c r="L5" s="200"/>
      <c r="M5" s="205"/>
      <c r="N5" s="207"/>
      <c r="O5" s="197"/>
      <c r="P5" s="198"/>
      <c r="Q5" s="199" t="s">
        <v>120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1"/>
      <c r="H83" s="201"/>
      <c r="I83" s="201"/>
      <c r="J83" s="20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4"/>
      <c r="O84" s="194"/>
    </row>
    <row r="85" spans="3:15" ht="15">
      <c r="C85" s="87">
        <v>42426</v>
      </c>
      <c r="D85" s="31">
        <v>6256.2</v>
      </c>
      <c r="F85" s="124" t="s">
        <v>59</v>
      </c>
      <c r="G85" s="188"/>
      <c r="H85" s="188"/>
      <c r="I85" s="131"/>
      <c r="J85" s="191"/>
      <c r="K85" s="191"/>
      <c r="L85" s="191"/>
      <c r="M85" s="191"/>
      <c r="N85" s="194"/>
      <c r="O85" s="194"/>
    </row>
    <row r="86" spans="3:15" ht="15.75" customHeight="1">
      <c r="C86" s="87">
        <v>42425</v>
      </c>
      <c r="D86" s="31">
        <v>3536.9</v>
      </c>
      <c r="F86" s="73"/>
      <c r="G86" s="188"/>
      <c r="H86" s="188"/>
      <c r="I86" s="131"/>
      <c r="J86" s="195"/>
      <c r="K86" s="195"/>
      <c r="L86" s="195"/>
      <c r="M86" s="195"/>
      <c r="N86" s="194"/>
      <c r="O86" s="194"/>
    </row>
    <row r="87" spans="3:13" ht="15.75" customHeight="1">
      <c r="C87" s="87"/>
      <c r="F87" s="73"/>
      <c r="G87" s="190"/>
      <c r="H87" s="190"/>
      <c r="I87" s="139"/>
      <c r="J87" s="191"/>
      <c r="K87" s="191"/>
      <c r="L87" s="191"/>
      <c r="M87" s="191"/>
    </row>
    <row r="88" spans="2:13" ht="18.75" customHeight="1">
      <c r="B88" s="192" t="s">
        <v>57</v>
      </c>
      <c r="C88" s="193"/>
      <c r="D88" s="148">
        <v>505.3</v>
      </c>
      <c r="E88" s="74"/>
      <c r="F88" s="140" t="s">
        <v>137</v>
      </c>
      <c r="G88" s="188"/>
      <c r="H88" s="188"/>
      <c r="I88" s="141"/>
      <c r="J88" s="191"/>
      <c r="K88" s="191"/>
      <c r="L88" s="191"/>
      <c r="M88" s="191"/>
    </row>
    <row r="89" spans="6:12" ht="9.75" customHeight="1">
      <c r="F89" s="73"/>
      <c r="G89" s="188"/>
      <c r="H89" s="188"/>
      <c r="I89" s="73"/>
      <c r="J89" s="74"/>
      <c r="K89" s="74"/>
      <c r="L89" s="74"/>
    </row>
    <row r="90" spans="2:12" ht="22.5" customHeight="1" hidden="1">
      <c r="B90" s="186" t="s">
        <v>60</v>
      </c>
      <c r="C90" s="187"/>
      <c r="D90" s="86">
        <v>0</v>
      </c>
      <c r="E90" s="56" t="s">
        <v>24</v>
      </c>
      <c r="F90" s="73"/>
      <c r="G90" s="188"/>
      <c r="H90" s="18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8"/>
      <c r="O91" s="188"/>
    </row>
    <row r="92" spans="4:15" ht="15">
      <c r="D92" s="83"/>
      <c r="I92" s="31"/>
      <c r="N92" s="189"/>
      <c r="O92" s="189"/>
    </row>
    <row r="93" spans="14:15" ht="15">
      <c r="N93" s="188"/>
      <c r="O93" s="18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 t="s">
        <v>135</v>
      </c>
      <c r="C3" s="213" t="s">
        <v>0</v>
      </c>
      <c r="D3" s="214" t="s">
        <v>121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132</v>
      </c>
      <c r="N3" s="219" t="s">
        <v>66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129</v>
      </c>
      <c r="F4" s="202" t="s">
        <v>34</v>
      </c>
      <c r="G4" s="196" t="s">
        <v>130</v>
      </c>
      <c r="H4" s="204" t="s">
        <v>131</v>
      </c>
      <c r="I4" s="196" t="s">
        <v>122</v>
      </c>
      <c r="J4" s="204" t="s">
        <v>123</v>
      </c>
      <c r="K4" s="91" t="s">
        <v>65</v>
      </c>
      <c r="L4" s="96" t="s">
        <v>64</v>
      </c>
      <c r="M4" s="204"/>
      <c r="N4" s="222" t="s">
        <v>133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92.25" customHeight="1">
      <c r="A5" s="211"/>
      <c r="B5" s="212"/>
      <c r="C5" s="213"/>
      <c r="D5" s="214"/>
      <c r="E5" s="221"/>
      <c r="F5" s="203"/>
      <c r="G5" s="197"/>
      <c r="H5" s="205"/>
      <c r="I5" s="197"/>
      <c r="J5" s="205"/>
      <c r="K5" s="199" t="s">
        <v>134</v>
      </c>
      <c r="L5" s="200"/>
      <c r="M5" s="205"/>
      <c r="N5" s="223"/>
      <c r="O5" s="197"/>
      <c r="P5" s="198"/>
      <c r="Q5" s="199" t="s">
        <v>120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1"/>
      <c r="H83" s="201"/>
      <c r="I83" s="201"/>
      <c r="J83" s="20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4"/>
      <c r="O84" s="194"/>
    </row>
    <row r="85" spans="3:15" ht="15">
      <c r="C85" s="87">
        <v>42397</v>
      </c>
      <c r="D85" s="31">
        <v>8685</v>
      </c>
      <c r="F85" s="124" t="s">
        <v>59</v>
      </c>
      <c r="G85" s="188"/>
      <c r="H85" s="188"/>
      <c r="I85" s="131"/>
      <c r="J85" s="191"/>
      <c r="K85" s="191"/>
      <c r="L85" s="191"/>
      <c r="M85" s="191"/>
      <c r="N85" s="194"/>
      <c r="O85" s="194"/>
    </row>
    <row r="86" spans="3:15" ht="15.75" customHeight="1">
      <c r="C86" s="87">
        <v>42396</v>
      </c>
      <c r="D86" s="31">
        <v>4820.3</v>
      </c>
      <c r="F86" s="73"/>
      <c r="G86" s="188"/>
      <c r="H86" s="188"/>
      <c r="I86" s="131"/>
      <c r="J86" s="195"/>
      <c r="K86" s="195"/>
      <c r="L86" s="195"/>
      <c r="M86" s="195"/>
      <c r="N86" s="194"/>
      <c r="O86" s="194"/>
    </row>
    <row r="87" spans="3:13" ht="15.75" customHeight="1">
      <c r="C87" s="87"/>
      <c r="F87" s="73"/>
      <c r="G87" s="190"/>
      <c r="H87" s="190"/>
      <c r="I87" s="139"/>
      <c r="J87" s="191"/>
      <c r="K87" s="191"/>
      <c r="L87" s="191"/>
      <c r="M87" s="191"/>
    </row>
    <row r="88" spans="2:13" ht="18.75" customHeight="1">
      <c r="B88" s="192" t="s">
        <v>57</v>
      </c>
      <c r="C88" s="193"/>
      <c r="D88" s="148">
        <v>300.92</v>
      </c>
      <c r="E88" s="74"/>
      <c r="F88" s="140"/>
      <c r="G88" s="188"/>
      <c r="H88" s="188"/>
      <c r="I88" s="141"/>
      <c r="J88" s="191"/>
      <c r="K88" s="191"/>
      <c r="L88" s="191"/>
      <c r="M88" s="191"/>
    </row>
    <row r="89" spans="6:12" ht="9.75" customHeight="1">
      <c r="F89" s="73"/>
      <c r="G89" s="188"/>
      <c r="H89" s="188"/>
      <c r="I89" s="73"/>
      <c r="J89" s="74"/>
      <c r="K89" s="74"/>
      <c r="L89" s="74"/>
    </row>
    <row r="90" spans="2:12" ht="22.5" customHeight="1" hidden="1">
      <c r="B90" s="186" t="s">
        <v>60</v>
      </c>
      <c r="C90" s="187"/>
      <c r="D90" s="86">
        <v>0</v>
      </c>
      <c r="E90" s="56" t="s">
        <v>24</v>
      </c>
      <c r="F90" s="73"/>
      <c r="G90" s="188"/>
      <c r="H90" s="18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8"/>
      <c r="O91" s="188"/>
    </row>
    <row r="92" spans="4:15" ht="15">
      <c r="D92" s="83"/>
      <c r="I92" s="31"/>
      <c r="N92" s="189"/>
      <c r="O92" s="189"/>
    </row>
    <row r="93" spans="14:15" ht="15">
      <c r="N93" s="188"/>
      <c r="O93" s="18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 t="s">
        <v>136</v>
      </c>
      <c r="C3" s="213" t="s">
        <v>0</v>
      </c>
      <c r="D3" s="214" t="s">
        <v>115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107</v>
      </c>
      <c r="N3" s="219" t="s">
        <v>66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104</v>
      </c>
      <c r="F4" s="224" t="s">
        <v>34</v>
      </c>
      <c r="G4" s="196" t="s">
        <v>109</v>
      </c>
      <c r="H4" s="204" t="s">
        <v>110</v>
      </c>
      <c r="I4" s="196" t="s">
        <v>105</v>
      </c>
      <c r="J4" s="204" t="s">
        <v>106</v>
      </c>
      <c r="K4" s="91" t="s">
        <v>65</v>
      </c>
      <c r="L4" s="96" t="s">
        <v>64</v>
      </c>
      <c r="M4" s="204"/>
      <c r="N4" s="222" t="s">
        <v>103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76.5" customHeight="1">
      <c r="A5" s="211"/>
      <c r="B5" s="212"/>
      <c r="C5" s="213"/>
      <c r="D5" s="214"/>
      <c r="E5" s="221"/>
      <c r="F5" s="225"/>
      <c r="G5" s="197"/>
      <c r="H5" s="205"/>
      <c r="I5" s="197"/>
      <c r="J5" s="205"/>
      <c r="K5" s="199" t="s">
        <v>108</v>
      </c>
      <c r="L5" s="200"/>
      <c r="M5" s="205"/>
      <c r="N5" s="223"/>
      <c r="O5" s="197"/>
      <c r="P5" s="198"/>
      <c r="Q5" s="199" t="s">
        <v>126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1"/>
      <c r="H82" s="201"/>
      <c r="I82" s="201"/>
      <c r="J82" s="20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4"/>
      <c r="O83" s="194"/>
    </row>
    <row r="84" spans="3:15" ht="15">
      <c r="C84" s="87">
        <v>42397</v>
      </c>
      <c r="D84" s="31">
        <v>8685</v>
      </c>
      <c r="F84" s="166" t="s">
        <v>59</v>
      </c>
      <c r="G84" s="188"/>
      <c r="H84" s="188"/>
      <c r="I84" s="131"/>
      <c r="J84" s="191"/>
      <c r="K84" s="191"/>
      <c r="L84" s="191"/>
      <c r="M84" s="191"/>
      <c r="N84" s="194"/>
      <c r="O84" s="194"/>
    </row>
    <row r="85" spans="3:15" ht="15.75" customHeight="1">
      <c r="C85" s="87">
        <v>42396</v>
      </c>
      <c r="D85" s="31">
        <v>4820.3</v>
      </c>
      <c r="F85" s="167"/>
      <c r="G85" s="188"/>
      <c r="H85" s="188"/>
      <c r="I85" s="131"/>
      <c r="J85" s="195"/>
      <c r="K85" s="195"/>
      <c r="L85" s="195"/>
      <c r="M85" s="195"/>
      <c r="N85" s="194"/>
      <c r="O85" s="194"/>
    </row>
    <row r="86" spans="3:13" ht="15.75" customHeight="1">
      <c r="C86" s="87"/>
      <c r="F86" s="167"/>
      <c r="G86" s="190"/>
      <c r="H86" s="190"/>
      <c r="I86" s="139"/>
      <c r="J86" s="191"/>
      <c r="K86" s="191"/>
      <c r="L86" s="191"/>
      <c r="M86" s="191"/>
    </row>
    <row r="87" spans="2:13" ht="18.75" customHeight="1">
      <c r="B87" s="192" t="s">
        <v>57</v>
      </c>
      <c r="C87" s="193"/>
      <c r="D87" s="148">
        <v>300.92</v>
      </c>
      <c r="E87" s="74"/>
      <c r="F87" s="168"/>
      <c r="G87" s="188"/>
      <c r="H87" s="188"/>
      <c r="I87" s="141"/>
      <c r="J87" s="191"/>
      <c r="K87" s="191"/>
      <c r="L87" s="191"/>
      <c r="M87" s="191"/>
    </row>
    <row r="88" spans="6:12" ht="9.75" customHeight="1">
      <c r="F88" s="167"/>
      <c r="G88" s="188"/>
      <c r="H88" s="188"/>
      <c r="I88" s="73"/>
      <c r="J88" s="74"/>
      <c r="K88" s="74"/>
      <c r="L88" s="74"/>
    </row>
    <row r="89" spans="2:12" ht="22.5" customHeight="1" hidden="1">
      <c r="B89" s="186" t="s">
        <v>60</v>
      </c>
      <c r="C89" s="187"/>
      <c r="D89" s="86">
        <v>0</v>
      </c>
      <c r="E89" s="56" t="s">
        <v>24</v>
      </c>
      <c r="F89" s="167"/>
      <c r="G89" s="188"/>
      <c r="H89" s="18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8"/>
      <c r="O90" s="188"/>
    </row>
    <row r="91" spans="4:15" ht="15">
      <c r="D91" s="83"/>
      <c r="I91" s="31"/>
      <c r="N91" s="189"/>
      <c r="O91" s="189"/>
    </row>
    <row r="92" spans="14:15" ht="15">
      <c r="N92" s="188"/>
      <c r="O92" s="188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2016-03-02T10:36:52Z</cp:lastPrinted>
  <dcterms:created xsi:type="dcterms:W3CDTF">2003-07-28T11:27:56Z</dcterms:created>
  <dcterms:modified xsi:type="dcterms:W3CDTF">2016-03-03T08:21:41Z</dcterms:modified>
  <cp:category/>
  <cp:version/>
  <cp:contentType/>
  <cp:contentStatus/>
</cp:coreProperties>
</file>